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2"/>
  <workbookPr defaultThemeVersion="166925"/>
  <xr:revisionPtr revIDLastSave="0" documentId="8_{5BB63736-7310-4907-B9F4-07385F53AD20}" xr6:coauthVersionLast="46" xr6:coauthVersionMax="46" xr10:uidLastSave="{00000000-0000-0000-0000-000000000000}"/>
  <bookViews>
    <workbookView xWindow="240" yWindow="105" windowWidth="14805" windowHeight="8010" firstSheet="5" activeTab="5" xr2:uid="{00000000-000D-0000-FFFF-FFFF00000000}"/>
  </bookViews>
  <sheets>
    <sheet name="10.12" sheetId="1" r:id="rId1"/>
    <sheet name="16.12" sheetId="2" r:id="rId2"/>
    <sheet name="17.12 " sheetId="3" r:id="rId3"/>
    <sheet name="20.01" sheetId="4" r:id="rId4"/>
    <sheet name="28.01" sheetId="5" r:id="rId5"/>
    <sheet name="03.02" sheetId="6" r:id="rId6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6" l="1"/>
  <c r="J5" i="6"/>
  <c r="J6" i="6"/>
  <c r="I6" i="6"/>
  <c r="H6" i="6"/>
  <c r="G6" i="6"/>
  <c r="I4" i="6"/>
  <c r="I5" i="6"/>
  <c r="I3" i="6"/>
  <c r="J3" i="6"/>
  <c r="H4" i="6"/>
  <c r="H5" i="6"/>
  <c r="H3" i="6"/>
  <c r="M4" i="6"/>
  <c r="M5" i="6"/>
  <c r="M3" i="6"/>
  <c r="L4" i="6"/>
  <c r="L5" i="6"/>
  <c r="L3" i="6"/>
  <c r="K4" i="6"/>
  <c r="K5" i="6"/>
  <c r="K3" i="6"/>
  <c r="C19" i="4"/>
  <c r="K17" i="4"/>
  <c r="K16" i="4"/>
  <c r="K15" i="4"/>
  <c r="J17" i="4"/>
  <c r="J16" i="4"/>
  <c r="J15" i="4"/>
  <c r="G17" i="4"/>
  <c r="G16" i="4"/>
  <c r="G15" i="4"/>
  <c r="K14" i="4"/>
  <c r="J14" i="4"/>
  <c r="G14" i="4"/>
  <c r="G11" i="4"/>
  <c r="G12" i="4"/>
  <c r="G13" i="4"/>
  <c r="J13" i="4"/>
  <c r="K13" i="4" s="1"/>
  <c r="J12" i="4"/>
  <c r="K12" i="4" s="1"/>
  <c r="K10" i="4"/>
  <c r="J11" i="4"/>
  <c r="K11" i="4" s="1"/>
  <c r="J10" i="4"/>
  <c r="G10" i="4"/>
  <c r="G16" i="3"/>
  <c r="F16" i="3"/>
  <c r="E16" i="3"/>
  <c r="G13" i="3"/>
  <c r="G12" i="3"/>
  <c r="G11" i="3"/>
  <c r="G10" i="3"/>
  <c r="G4" i="2"/>
  <c r="G5" i="2"/>
  <c r="G6" i="2"/>
  <c r="G7" i="2"/>
  <c r="G8" i="2"/>
  <c r="G9" i="2"/>
  <c r="G3" i="2"/>
  <c r="F4" i="2"/>
  <c r="F5" i="2"/>
  <c r="F6" i="2"/>
  <c r="F7" i="2"/>
  <c r="F8" i="2"/>
  <c r="F9" i="2"/>
  <c r="F3" i="2"/>
  <c r="E3" i="2"/>
  <c r="D9" i="2"/>
  <c r="E9" i="2"/>
  <c r="E4" i="2"/>
  <c r="E5" i="2"/>
  <c r="E6" i="2"/>
  <c r="E7" i="2"/>
  <c r="E8" i="2"/>
  <c r="G4" i="1"/>
  <c r="G5" i="1"/>
  <c r="G6" i="1"/>
  <c r="G7" i="1"/>
  <c r="G8" i="1"/>
  <c r="G9" i="1"/>
  <c r="G3" i="1"/>
  <c r="F4" i="1"/>
  <c r="F5" i="1"/>
  <c r="F6" i="1"/>
  <c r="F7" i="1"/>
  <c r="F8" i="1"/>
  <c r="F9" i="1"/>
  <c r="F3" i="1"/>
  <c r="E3" i="1"/>
  <c r="E9" i="1"/>
  <c r="E4" i="1"/>
  <c r="E5" i="1"/>
  <c r="E6" i="1"/>
  <c r="E7" i="1"/>
  <c r="E8" i="1"/>
  <c r="D9" i="1"/>
</calcChain>
</file>

<file path=xl/sharedStrings.xml><?xml version="1.0" encoding="utf-8"?>
<sst xmlns="http://schemas.openxmlformats.org/spreadsheetml/2006/main" count="135" uniqueCount="116">
  <si>
    <t>Ewidencja magazynowa</t>
  </si>
  <si>
    <t>Lp</t>
  </si>
  <si>
    <t>Nazwa towaru</t>
  </si>
  <si>
    <t>Cena jednostkowa</t>
  </si>
  <si>
    <t>Ilość</t>
  </si>
  <si>
    <t>Wartość</t>
  </si>
  <si>
    <t>udział % w wartości towarów</t>
  </si>
  <si>
    <t>udział % w ilości towaró</t>
  </si>
  <si>
    <t>storczyk</t>
  </si>
  <si>
    <t>róża</t>
  </si>
  <si>
    <t>forsycja</t>
  </si>
  <si>
    <t>frezja</t>
  </si>
  <si>
    <t>tulipan</t>
  </si>
  <si>
    <t>gerbera</t>
  </si>
  <si>
    <t>Razem</t>
  </si>
  <si>
    <t>ZESTWIENIE ILOŚĆIOWE I WARTOŚCIOWE TOWARÓW W MAGAZYNIE</t>
  </si>
  <si>
    <t>Lp.</t>
  </si>
  <si>
    <t>Cena jednostkowa w zł</t>
  </si>
  <si>
    <t>Ilość w szt.</t>
  </si>
  <si>
    <t>Wartość w zł</t>
  </si>
  <si>
    <t>Udział % w ilości towaró</t>
  </si>
  <si>
    <t>Udział % w wartości towarów</t>
  </si>
  <si>
    <t>Ołówek</t>
  </si>
  <si>
    <t>Długopis</t>
  </si>
  <si>
    <t>Linijka</t>
  </si>
  <si>
    <t>Ekierka</t>
  </si>
  <si>
    <t>Kątomierz</t>
  </si>
  <si>
    <t>Cyrkiel</t>
  </si>
  <si>
    <t>KARTOTEKA MATERIAŁOWA</t>
  </si>
  <si>
    <t>Symbol materiału M-10320</t>
  </si>
  <si>
    <t>Nr magazynu: 01</t>
  </si>
  <si>
    <t>okres</t>
  </si>
  <si>
    <t>Tarcica sosnowa</t>
  </si>
  <si>
    <t>zużycie</t>
  </si>
  <si>
    <t>jednostka</t>
  </si>
  <si>
    <t xml:space="preserve"> m³</t>
  </si>
  <si>
    <t>Data</t>
  </si>
  <si>
    <t>Dowód</t>
  </si>
  <si>
    <t>Treść</t>
  </si>
  <si>
    <t>Przychód</t>
  </si>
  <si>
    <t>Rozchód</t>
  </si>
  <si>
    <t>Stan</t>
  </si>
  <si>
    <t>dzień-miesiąc</t>
  </si>
  <si>
    <t>symbol</t>
  </si>
  <si>
    <t>numer</t>
  </si>
  <si>
    <t>stan początkowy</t>
  </si>
  <si>
    <t>RW</t>
  </si>
  <si>
    <t>produkcja</t>
  </si>
  <si>
    <t>PZ</t>
  </si>
  <si>
    <t>magazyn</t>
  </si>
  <si>
    <t>SUMA</t>
  </si>
  <si>
    <t>sprzedawca</t>
  </si>
  <si>
    <t>Faktura VAT nr 1/01/2021</t>
  </si>
  <si>
    <t>Miejscowość i data</t>
  </si>
  <si>
    <t>Gniezno, 21.01.2021 r.</t>
  </si>
  <si>
    <t>nabywca</t>
  </si>
  <si>
    <t>Adres</t>
  </si>
  <si>
    <t>Nr rachunku bankowego sprzedawcy</t>
  </si>
  <si>
    <t>jm</t>
  </si>
  <si>
    <t>cena/szt</t>
  </si>
  <si>
    <t>ilość</t>
  </si>
  <si>
    <t>Wartość netto</t>
  </si>
  <si>
    <t>Stawka podatku VAT %</t>
  </si>
  <si>
    <t>Kwota VAT</t>
  </si>
  <si>
    <t>Wartość brutto</t>
  </si>
  <si>
    <t>taboret</t>
  </si>
  <si>
    <t>szt.</t>
  </si>
  <si>
    <t>stolik kawowy</t>
  </si>
  <si>
    <t>krzesło</t>
  </si>
  <si>
    <t>poduszka</t>
  </si>
  <si>
    <t>RAZEM</t>
  </si>
  <si>
    <t>ZESTAWIENIE STAWEK WG STAWEK PODATKU VAT</t>
  </si>
  <si>
    <t>zw</t>
  </si>
  <si>
    <t>Do zapłaty</t>
  </si>
  <si>
    <t>Sposób zapłaty:</t>
  </si>
  <si>
    <t>gotówka</t>
  </si>
  <si>
    <t>Termin zapłaty</t>
  </si>
  <si>
    <t>przelew</t>
  </si>
  <si>
    <t>Kwota słownie</t>
  </si>
  <si>
    <t>osiem tysięcy sześćdziesiąt cztery złote 38/100</t>
  </si>
  <si>
    <t>Wystawił</t>
  </si>
  <si>
    <t>ZESTAWIENIE RÓŻNIC INWENTARYZACYJNYCH</t>
  </si>
  <si>
    <t>Poz</t>
  </si>
  <si>
    <t>Kod</t>
  </si>
  <si>
    <t>Nazwa</t>
  </si>
  <si>
    <t>Ustalona ilość</t>
  </si>
  <si>
    <t>Cena jedn.</t>
  </si>
  <si>
    <t>Wartość ustalona</t>
  </si>
  <si>
    <t>Ilość w ewidencji</t>
  </si>
  <si>
    <t>Wartość ewidencji</t>
  </si>
  <si>
    <t>RÓŻNICE INWENTARYZACYJNE</t>
  </si>
  <si>
    <t>NIEDOBORY</t>
  </si>
  <si>
    <t>NADWYŻKI</t>
  </si>
  <si>
    <t>ZŁ</t>
  </si>
  <si>
    <t>SZT</t>
  </si>
  <si>
    <t>REJESTR ŚRODKÓW TRWAŁYCH</t>
  </si>
  <si>
    <t>DATA</t>
  </si>
  <si>
    <t xml:space="preserve">Grupa </t>
  </si>
  <si>
    <t>Rodzaj</t>
  </si>
  <si>
    <t>Nr inwentarzowy</t>
  </si>
  <si>
    <t>Data przyjęcia</t>
  </si>
  <si>
    <t>Stawka amortyzacji</t>
  </si>
  <si>
    <t>Wartość początkowa</t>
  </si>
  <si>
    <t>Umorzenie</t>
  </si>
  <si>
    <t>Wartość aktualna</t>
  </si>
  <si>
    <t>% umorzenie</t>
  </si>
  <si>
    <t>ilość miesięcy użytkowania</t>
  </si>
  <si>
    <t>Okres amortyzacji w m-c</t>
  </si>
  <si>
    <t>Koniec amortyzacji</t>
  </si>
  <si>
    <t>101/003/2015</t>
  </si>
  <si>
    <t>Hala produkcyjna</t>
  </si>
  <si>
    <t>104/005/2014</t>
  </si>
  <si>
    <t>Budynek magazynowy</t>
  </si>
  <si>
    <t>105/001/2008</t>
  </si>
  <si>
    <t xml:space="preserve">Budynek biurowy </t>
  </si>
  <si>
    <t>Suma gr.1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</si>
</sst>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d\-mm;@"/>
    <numFmt numFmtId="165" formatCode="0.0%"/>
    <numFmt numFmtId="166" formatCode="yyyy\-mm\-dd;@"/>
    <numFmt numFmtId="167" formatCode="#,##0.00\ &quot;zł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2" fontId="0" fillId="0" borderId="1" xfId="0" applyNumberFormat="1" applyBorder="1"/>
    <xf numFmtId="43" fontId="0" fillId="0" borderId="1" xfId="0" applyNumberFormat="1" applyBorder="1"/>
    <xf numFmtId="0" fontId="0" fillId="0" borderId="6" xfId="0" applyBorder="1"/>
    <xf numFmtId="2" fontId="0" fillId="0" borderId="6" xfId="0" applyNumberFormat="1" applyBorder="1"/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" fillId="2" borderId="3" xfId="0" applyFont="1" applyFill="1" applyBorder="1"/>
    <xf numFmtId="0" fontId="0" fillId="0" borderId="0" xfId="0" applyAlignment="1">
      <alignment wrapText="1"/>
    </xf>
    <xf numFmtId="0" fontId="0" fillId="2" borderId="11" xfId="0" applyFill="1" applyBorder="1" applyAlignment="1">
      <alignment horizontal="center"/>
    </xf>
    <xf numFmtId="2" fontId="0" fillId="0" borderId="12" xfId="0" applyNumberFormat="1" applyBorder="1"/>
    <xf numFmtId="2" fontId="0" fillId="0" borderId="13" xfId="0" applyNumberFormat="1" applyBorder="1"/>
    <xf numFmtId="2" fontId="1" fillId="2" borderId="7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1" fillId="2" borderId="8" xfId="0" applyFont="1" applyFill="1" applyBorder="1"/>
    <xf numFmtId="0" fontId="1" fillId="2" borderId="5" xfId="0" applyFont="1" applyFill="1" applyBorder="1"/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2" borderId="1" xfId="0" applyFill="1" applyBorder="1"/>
    <xf numFmtId="0" fontId="4" fillId="0" borderId="1" xfId="0" applyFont="1" applyBorder="1"/>
    <xf numFmtId="0" fontId="0" fillId="2" borderId="6" xfId="0" applyFill="1" applyBorder="1"/>
    <xf numFmtId="11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/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1" fillId="0" borderId="1" xfId="0" applyFont="1" applyBorder="1"/>
    <xf numFmtId="0" fontId="0" fillId="0" borderId="1" xfId="0" applyNumberFormat="1" applyBorder="1" applyAlignment="1">
      <alignment horizontal="center"/>
    </xf>
    <xf numFmtId="0" fontId="1" fillId="0" borderId="6" xfId="0" applyFont="1" applyBorder="1"/>
    <xf numFmtId="2" fontId="1" fillId="0" borderId="6" xfId="0" applyNumberFormat="1" applyFont="1" applyBorder="1"/>
    <xf numFmtId="0" fontId="0" fillId="0" borderId="0" xfId="0" applyAlignment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5" borderId="12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10" fontId="0" fillId="0" borderId="0" xfId="0" applyNumberFormat="1"/>
    <xf numFmtId="0" fontId="1" fillId="0" borderId="20" xfId="0" applyFont="1" applyBorder="1" applyAlignment="1">
      <alignment horizontal="center"/>
    </xf>
    <xf numFmtId="0" fontId="1" fillId="0" borderId="0" xfId="0" applyFont="1"/>
    <xf numFmtId="166" fontId="1" fillId="0" borderId="0" xfId="0" applyNumberFormat="1" applyFont="1"/>
    <xf numFmtId="0" fontId="0" fillId="4" borderId="0" xfId="0" applyFill="1" applyAlignment="1">
      <alignment horizontal="left"/>
    </xf>
    <xf numFmtId="0" fontId="0" fillId="4" borderId="0" xfId="0" applyFill="1" applyAlignment="1"/>
    <xf numFmtId="167" fontId="1" fillId="4" borderId="0" xfId="0" applyNumberFormat="1" applyFont="1" applyFill="1" applyAlignment="1"/>
    <xf numFmtId="10" fontId="1" fillId="4" borderId="0" xfId="0" applyNumberFormat="1" applyFont="1" applyFill="1" applyAlignme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workbookViewId="0">
      <selection activeCell="D9" sqref="D9"/>
    </sheetView>
  </sheetViews>
  <sheetFormatPr defaultRowHeight="15"/>
  <cols>
    <col min="3" max="3" width="12.85546875" customWidth="1"/>
    <col min="7" max="7" width="10.42578125" customWidth="1"/>
  </cols>
  <sheetData>
    <row r="1" spans="1:13">
      <c r="A1" s="53" t="s">
        <v>0</v>
      </c>
      <c r="B1" s="54"/>
      <c r="C1" s="54"/>
      <c r="D1" s="54"/>
      <c r="E1" s="55"/>
      <c r="M1">
        <v>100</v>
      </c>
    </row>
    <row r="2" spans="1:13" ht="60">
      <c r="A2" s="6" t="s">
        <v>1</v>
      </c>
      <c r="B2" s="7" t="s">
        <v>2</v>
      </c>
      <c r="C2" s="7" t="s">
        <v>3</v>
      </c>
      <c r="D2" s="8" t="s">
        <v>4</v>
      </c>
      <c r="E2" s="11" t="s">
        <v>5</v>
      </c>
      <c r="F2" s="16" t="s">
        <v>6</v>
      </c>
      <c r="G2" s="15" t="s">
        <v>7</v>
      </c>
      <c r="H2" s="10"/>
    </row>
    <row r="3" spans="1:13">
      <c r="A3" s="1">
        <v>1</v>
      </c>
      <c r="B3" s="1" t="s">
        <v>8</v>
      </c>
      <c r="C3" s="2">
        <v>5</v>
      </c>
      <c r="D3" s="1">
        <v>200</v>
      </c>
      <c r="E3" s="12">
        <f>C3*D3</f>
        <v>1000</v>
      </c>
      <c r="F3" s="17">
        <f>E3*$M$1/$E$9</f>
        <v>10.060362173038229</v>
      </c>
      <c r="G3" s="1">
        <f>D3*$M$1/$D$9</f>
        <v>15.396458814472672</v>
      </c>
    </row>
    <row r="4" spans="1:13">
      <c r="A4" s="1">
        <v>2</v>
      </c>
      <c r="B4" s="1" t="s">
        <v>9</v>
      </c>
      <c r="C4" s="3">
        <v>6</v>
      </c>
      <c r="D4" s="1">
        <v>150</v>
      </c>
      <c r="E4" s="12">
        <f t="shared" ref="E4:E8" si="0">C4*D4</f>
        <v>900</v>
      </c>
      <c r="F4" s="17">
        <f t="shared" ref="F4:F9" si="1">E4*$M$1/$E$9</f>
        <v>9.0543259557344058</v>
      </c>
      <c r="G4" s="1">
        <f t="shared" ref="G4:G9" si="2">D4*$M$1/$D$9</f>
        <v>11.547344110854503</v>
      </c>
    </row>
    <row r="5" spans="1:13">
      <c r="A5" s="1">
        <v>3</v>
      </c>
      <c r="B5" s="1" t="s">
        <v>10</v>
      </c>
      <c r="C5" s="2">
        <v>7</v>
      </c>
      <c r="D5" s="1">
        <v>300</v>
      </c>
      <c r="E5" s="12">
        <f t="shared" si="0"/>
        <v>2100</v>
      </c>
      <c r="F5" s="17">
        <f t="shared" si="1"/>
        <v>21.12676056338028</v>
      </c>
      <c r="G5" s="1">
        <f t="shared" si="2"/>
        <v>23.094688221709006</v>
      </c>
    </row>
    <row r="6" spans="1:13">
      <c r="A6" s="1">
        <v>4</v>
      </c>
      <c r="B6" s="1" t="s">
        <v>11</v>
      </c>
      <c r="C6" s="2">
        <v>8</v>
      </c>
      <c r="D6" s="1">
        <v>125</v>
      </c>
      <c r="E6" s="12">
        <f t="shared" si="0"/>
        <v>1000</v>
      </c>
      <c r="F6" s="17">
        <f t="shared" si="1"/>
        <v>10.060362173038229</v>
      </c>
      <c r="G6" s="1">
        <f t="shared" si="2"/>
        <v>9.6227867590454199</v>
      </c>
    </row>
    <row r="7" spans="1:13">
      <c r="A7" s="1">
        <v>5</v>
      </c>
      <c r="B7" s="1" t="s">
        <v>12</v>
      </c>
      <c r="C7" s="2">
        <v>9</v>
      </c>
      <c r="D7" s="1">
        <v>300</v>
      </c>
      <c r="E7" s="12">
        <f t="shared" si="0"/>
        <v>2700</v>
      </c>
      <c r="F7" s="17">
        <f t="shared" si="1"/>
        <v>27.162977867203221</v>
      </c>
      <c r="G7" s="1">
        <f t="shared" si="2"/>
        <v>23.094688221709006</v>
      </c>
    </row>
    <row r="8" spans="1:13">
      <c r="A8" s="4">
        <v>6</v>
      </c>
      <c r="B8" s="4" t="s">
        <v>13</v>
      </c>
      <c r="C8" s="5">
        <v>10</v>
      </c>
      <c r="D8" s="4">
        <v>224</v>
      </c>
      <c r="E8" s="13">
        <f t="shared" si="0"/>
        <v>2240</v>
      </c>
      <c r="F8" s="18">
        <f t="shared" si="1"/>
        <v>22.535211267605632</v>
      </c>
      <c r="G8" s="4">
        <f t="shared" si="2"/>
        <v>17.244033872209393</v>
      </c>
    </row>
    <row r="9" spans="1:13">
      <c r="A9" s="50" t="s">
        <v>14</v>
      </c>
      <c r="B9" s="51"/>
      <c r="C9" s="52"/>
      <c r="D9" s="9">
        <f>SUM(D3:D8)</f>
        <v>1299</v>
      </c>
      <c r="E9" s="14">
        <f>SUM(E3:E8)</f>
        <v>9940</v>
      </c>
      <c r="F9" s="19">
        <f t="shared" si="1"/>
        <v>100</v>
      </c>
      <c r="G9" s="20">
        <f t="shared" si="2"/>
        <v>100</v>
      </c>
    </row>
  </sheetData>
  <mergeCells count="2">
    <mergeCell ref="A9:C9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F9CC-BE74-499F-A1DC-6C719D5D7E3E}">
  <dimension ref="A1:M9"/>
  <sheetViews>
    <sheetView workbookViewId="0">
      <selection activeCell="I8" sqref="I8"/>
    </sheetView>
  </sheetViews>
  <sheetFormatPr defaultRowHeight="15"/>
  <cols>
    <col min="6" max="6" width="14" customWidth="1"/>
    <col min="7" max="7" width="9.7109375" bestFit="1" customWidth="1"/>
  </cols>
  <sheetData>
    <row r="1" spans="1:13">
      <c r="A1" s="56" t="s">
        <v>15</v>
      </c>
      <c r="B1" s="56"/>
      <c r="C1" s="56"/>
      <c r="D1" s="56"/>
      <c r="E1" s="56"/>
      <c r="F1" s="56"/>
      <c r="M1">
        <v>100</v>
      </c>
    </row>
    <row r="2" spans="1:13" ht="75">
      <c r="A2" s="21" t="s">
        <v>16</v>
      </c>
      <c r="B2" s="22" t="s">
        <v>2</v>
      </c>
      <c r="C2" s="23" t="s">
        <v>17</v>
      </c>
      <c r="D2" s="21" t="s">
        <v>18</v>
      </c>
      <c r="E2" s="23" t="s">
        <v>19</v>
      </c>
      <c r="F2" s="23" t="s">
        <v>20</v>
      </c>
      <c r="G2" s="23" t="s">
        <v>21</v>
      </c>
    </row>
    <row r="3" spans="1:13">
      <c r="A3" s="1">
        <v>1</v>
      </c>
      <c r="B3" s="1" t="s">
        <v>22</v>
      </c>
      <c r="C3" s="2">
        <v>20</v>
      </c>
      <c r="D3" s="1">
        <v>2000</v>
      </c>
      <c r="E3" s="2">
        <f>C3*D3</f>
        <v>40000</v>
      </c>
      <c r="F3" s="1">
        <f>D3*$M$1/$D$9</f>
        <v>24.061597690086622</v>
      </c>
      <c r="G3" s="2">
        <f>E3*$M$1/$E$9</f>
        <v>6.6748377805830641</v>
      </c>
    </row>
    <row r="4" spans="1:13">
      <c r="A4" s="1">
        <v>2</v>
      </c>
      <c r="B4" s="1" t="s">
        <v>23</v>
      </c>
      <c r="C4" s="2">
        <v>85.5</v>
      </c>
      <c r="D4" s="1">
        <v>375</v>
      </c>
      <c r="E4" s="2">
        <f t="shared" ref="E4:E8" si="0">C4*D4</f>
        <v>32062.5</v>
      </c>
      <c r="F4" s="1">
        <f t="shared" ref="F4:F9" si="1">D4*$M$1/$D$9</f>
        <v>4.511549566891242</v>
      </c>
      <c r="G4" s="2">
        <f t="shared" ref="G4:G9" si="2">E4*$M$1/$E$9</f>
        <v>5.3502996584986118</v>
      </c>
    </row>
    <row r="5" spans="1:13">
      <c r="A5" s="1">
        <v>3</v>
      </c>
      <c r="B5" s="1" t="s">
        <v>24</v>
      </c>
      <c r="C5" s="2">
        <v>123.5</v>
      </c>
      <c r="D5" s="1">
        <v>2500</v>
      </c>
      <c r="E5" s="1">
        <f t="shared" si="0"/>
        <v>308750</v>
      </c>
      <c r="F5" s="1">
        <f t="shared" si="1"/>
        <v>30.076997112608279</v>
      </c>
      <c r="G5" s="2">
        <f t="shared" si="2"/>
        <v>51.521404118875523</v>
      </c>
    </row>
    <row r="6" spans="1:13">
      <c r="A6" s="1">
        <v>4</v>
      </c>
      <c r="B6" s="1" t="s">
        <v>25</v>
      </c>
      <c r="C6" s="2">
        <v>69</v>
      </c>
      <c r="D6" s="1">
        <v>1987</v>
      </c>
      <c r="E6" s="1">
        <f t="shared" si="0"/>
        <v>137103</v>
      </c>
      <c r="F6" s="1">
        <f t="shared" si="1"/>
        <v>23.905197305101058</v>
      </c>
      <c r="G6" s="2">
        <f t="shared" si="2"/>
        <v>22.878507105781996</v>
      </c>
    </row>
    <row r="7" spans="1:13">
      <c r="A7" s="1">
        <v>5</v>
      </c>
      <c r="B7" s="1" t="s">
        <v>26</v>
      </c>
      <c r="C7" s="2">
        <v>59</v>
      </c>
      <c r="D7" s="1">
        <v>250</v>
      </c>
      <c r="E7" s="1">
        <f t="shared" si="0"/>
        <v>14750</v>
      </c>
      <c r="F7" s="1">
        <f t="shared" si="1"/>
        <v>3.0076997112608277</v>
      </c>
      <c r="G7" s="2">
        <f t="shared" si="2"/>
        <v>2.4613464315900049</v>
      </c>
    </row>
    <row r="8" spans="1:13">
      <c r="A8" s="1">
        <v>6</v>
      </c>
      <c r="B8" s="1" t="s">
        <v>27</v>
      </c>
      <c r="C8" s="2">
        <v>55.5</v>
      </c>
      <c r="D8" s="1">
        <v>1200</v>
      </c>
      <c r="E8" s="1">
        <f t="shared" si="0"/>
        <v>66600</v>
      </c>
      <c r="F8" s="1">
        <f t="shared" si="1"/>
        <v>14.436958614051973</v>
      </c>
      <c r="G8" s="2">
        <f t="shared" si="2"/>
        <v>11.113604904670801</v>
      </c>
    </row>
    <row r="9" spans="1:13">
      <c r="A9" s="57" t="s">
        <v>14</v>
      </c>
      <c r="B9" s="57"/>
      <c r="C9" s="57"/>
      <c r="D9" s="32">
        <f>SUM(D3:D8)</f>
        <v>8312</v>
      </c>
      <c r="E9" s="32">
        <f>SUM(E3:E8)</f>
        <v>599265.5</v>
      </c>
      <c r="F9" s="32">
        <f t="shared" si="1"/>
        <v>100</v>
      </c>
      <c r="G9" s="32">
        <f t="shared" si="2"/>
        <v>100</v>
      </c>
    </row>
  </sheetData>
  <mergeCells count="2">
    <mergeCell ref="A1:F1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9F90-9767-44C6-8F88-3BA814FAECCD}">
  <dimension ref="A1:G16"/>
  <sheetViews>
    <sheetView workbookViewId="0">
      <selection activeCell="G17" sqref="G17"/>
    </sheetView>
  </sheetViews>
  <sheetFormatPr defaultRowHeight="15"/>
  <cols>
    <col min="1" max="1" width="12.28515625" customWidth="1"/>
    <col min="2" max="2" width="10" customWidth="1"/>
    <col min="4" max="4" width="15.5703125" customWidth="1"/>
  </cols>
  <sheetData>
    <row r="1" spans="1:7" ht="15" customHeight="1">
      <c r="A1" s="58" t="s">
        <v>28</v>
      </c>
      <c r="B1" s="58"/>
      <c r="C1" s="58"/>
      <c r="D1" s="59" t="s">
        <v>29</v>
      </c>
      <c r="E1" s="59"/>
      <c r="F1" s="59"/>
      <c r="G1" s="1"/>
    </row>
    <row r="2" spans="1:7">
      <c r="A2" s="58"/>
      <c r="B2" s="58"/>
      <c r="C2" s="58"/>
      <c r="D2" s="59"/>
      <c r="E2" s="59"/>
      <c r="F2" s="59"/>
      <c r="G2" s="1"/>
    </row>
    <row r="3" spans="1:7">
      <c r="A3" s="60" t="s">
        <v>30</v>
      </c>
      <c r="B3" s="60"/>
      <c r="C3" s="60"/>
      <c r="D3" s="60" t="s">
        <v>31</v>
      </c>
      <c r="E3" s="60"/>
      <c r="F3" s="1">
        <v>2018</v>
      </c>
      <c r="G3" s="1"/>
    </row>
    <row r="4" spans="1:7">
      <c r="A4" s="58" t="s">
        <v>32</v>
      </c>
      <c r="B4" s="58"/>
      <c r="C4" s="58"/>
      <c r="D4" s="60" t="s">
        <v>33</v>
      </c>
      <c r="E4" s="60"/>
      <c r="F4" s="1">
        <v>128</v>
      </c>
      <c r="G4" s="1"/>
    </row>
    <row r="5" spans="1:7">
      <c r="A5" s="58"/>
      <c r="B5" s="58"/>
      <c r="C5" s="58"/>
      <c r="D5" s="60" t="s">
        <v>34</v>
      </c>
      <c r="E5" s="60"/>
      <c r="F5" s="27" t="s">
        <v>35</v>
      </c>
      <c r="G5" s="1"/>
    </row>
    <row r="6" spans="1:7">
      <c r="A6" s="26"/>
      <c r="B6" s="26"/>
      <c r="C6" s="26"/>
      <c r="D6" s="26"/>
      <c r="E6" s="26"/>
      <c r="F6" s="26"/>
      <c r="G6" s="26"/>
    </row>
    <row r="7" spans="1:7">
      <c r="A7" s="1" t="s">
        <v>36</v>
      </c>
      <c r="B7" s="60" t="s">
        <v>37</v>
      </c>
      <c r="C7" s="60"/>
      <c r="D7" s="61" t="s">
        <v>38</v>
      </c>
      <c r="E7" s="61" t="s">
        <v>39</v>
      </c>
      <c r="F7" s="61" t="s">
        <v>40</v>
      </c>
      <c r="G7" s="61" t="s">
        <v>41</v>
      </c>
    </row>
    <row r="8" spans="1:7">
      <c r="A8" s="30" t="s">
        <v>42</v>
      </c>
      <c r="B8" s="31" t="s">
        <v>43</v>
      </c>
      <c r="C8" s="31" t="s">
        <v>44</v>
      </c>
      <c r="D8" s="62"/>
      <c r="E8" s="62"/>
      <c r="F8" s="62"/>
      <c r="G8" s="62"/>
    </row>
    <row r="9" spans="1:7">
      <c r="A9" s="28">
        <v>43831</v>
      </c>
      <c r="B9" s="1"/>
      <c r="C9" s="1"/>
      <c r="D9" s="1" t="s">
        <v>45</v>
      </c>
      <c r="E9" s="1"/>
      <c r="F9" s="1"/>
      <c r="G9" s="1">
        <v>106</v>
      </c>
    </row>
    <row r="10" spans="1:7" ht="15.75">
      <c r="A10" s="28">
        <v>43833</v>
      </c>
      <c r="B10" s="38" t="s">
        <v>46</v>
      </c>
      <c r="C10" s="39">
        <v>1</v>
      </c>
      <c r="D10" s="1" t="s">
        <v>47</v>
      </c>
      <c r="E10" s="29"/>
      <c r="F10" s="25">
        <v>50</v>
      </c>
      <c r="G10" s="1">
        <f>G9-F10</f>
        <v>56</v>
      </c>
    </row>
    <row r="11" spans="1:7">
      <c r="A11" s="28">
        <v>43841</v>
      </c>
      <c r="B11" s="38" t="s">
        <v>48</v>
      </c>
      <c r="C11" s="39">
        <v>3</v>
      </c>
      <c r="D11" s="1" t="s">
        <v>49</v>
      </c>
      <c r="E11" s="1">
        <v>80</v>
      </c>
      <c r="F11" s="1"/>
      <c r="G11" s="1">
        <f>G10+E11</f>
        <v>136</v>
      </c>
    </row>
    <row r="12" spans="1:7">
      <c r="A12" s="28">
        <v>43845</v>
      </c>
      <c r="B12" s="38" t="s">
        <v>46</v>
      </c>
      <c r="C12" s="39">
        <v>4</v>
      </c>
      <c r="D12" s="1" t="s">
        <v>47</v>
      </c>
      <c r="E12" s="1"/>
      <c r="F12" s="1">
        <v>32</v>
      </c>
      <c r="G12" s="1">
        <f>G11-F12</f>
        <v>104</v>
      </c>
    </row>
    <row r="13" spans="1:7">
      <c r="A13" s="28">
        <v>43854</v>
      </c>
      <c r="B13" s="38" t="s">
        <v>46</v>
      </c>
      <c r="C13" s="39">
        <v>9</v>
      </c>
      <c r="D13" s="1" t="s">
        <v>47</v>
      </c>
      <c r="E13" s="1"/>
      <c r="F13" s="1">
        <v>46</v>
      </c>
      <c r="G13" s="1">
        <f>G12-F13</f>
        <v>58</v>
      </c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24"/>
      <c r="B16" s="24"/>
      <c r="C16" s="24"/>
      <c r="D16" s="1" t="s">
        <v>50</v>
      </c>
      <c r="E16" s="1">
        <f>SUM(E11:E15)</f>
        <v>80</v>
      </c>
      <c r="F16" s="1">
        <f>SUM(F9:F15)</f>
        <v>128</v>
      </c>
      <c r="G16" s="1">
        <f>G13</f>
        <v>58</v>
      </c>
    </row>
  </sheetData>
  <mergeCells count="12">
    <mergeCell ref="G7:G8"/>
    <mergeCell ref="D4:E4"/>
    <mergeCell ref="D5:E5"/>
    <mergeCell ref="A4:C5"/>
    <mergeCell ref="B7:C7"/>
    <mergeCell ref="D7:D8"/>
    <mergeCell ref="E7:E8"/>
    <mergeCell ref="A1:C2"/>
    <mergeCell ref="D1:F2"/>
    <mergeCell ref="A3:C3"/>
    <mergeCell ref="D3:E3"/>
    <mergeCell ref="F7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1465-A196-472F-90B8-3E10AF49E4CD}">
  <dimension ref="A1:S22"/>
  <sheetViews>
    <sheetView workbookViewId="0">
      <selection activeCell="C19" sqref="C19:K20"/>
    </sheetView>
  </sheetViews>
  <sheetFormatPr defaultRowHeight="15"/>
  <cols>
    <col min="1" max="1" width="11.140625" customWidth="1"/>
    <col min="7" max="7" width="11.42578125" customWidth="1"/>
    <col min="8" max="8" width="7.28515625" customWidth="1"/>
    <col min="9" max="9" width="14" customWidth="1"/>
    <col min="10" max="10" width="9.140625" customWidth="1"/>
  </cols>
  <sheetData>
    <row r="1" spans="1:19">
      <c r="A1" s="83" t="s">
        <v>51</v>
      </c>
      <c r="B1" s="83"/>
      <c r="C1" s="77" t="s">
        <v>52</v>
      </c>
      <c r="D1" s="77"/>
      <c r="E1" s="77"/>
      <c r="F1" s="77"/>
      <c r="G1" s="83" t="s">
        <v>53</v>
      </c>
      <c r="H1" s="83"/>
      <c r="I1" s="83"/>
      <c r="J1" s="83"/>
      <c r="K1" s="83"/>
      <c r="S1">
        <v>100</v>
      </c>
    </row>
    <row r="2" spans="1:19">
      <c r="A2" s="83"/>
      <c r="B2" s="83"/>
      <c r="C2" s="77"/>
      <c r="D2" s="77"/>
      <c r="E2" s="77"/>
      <c r="F2" s="77"/>
      <c r="G2" s="83"/>
      <c r="H2" s="83"/>
      <c r="I2" s="83"/>
      <c r="J2" s="83"/>
      <c r="K2" s="83"/>
    </row>
    <row r="3" spans="1:19">
      <c r="A3" s="83"/>
      <c r="B3" s="83"/>
      <c r="C3" s="77"/>
      <c r="D3" s="77"/>
      <c r="E3" s="77"/>
      <c r="F3" s="77"/>
      <c r="G3" s="60" t="s">
        <v>54</v>
      </c>
      <c r="H3" s="60"/>
      <c r="I3" s="60"/>
      <c r="J3" s="83"/>
      <c r="K3" s="83"/>
    </row>
    <row r="4" spans="1:19">
      <c r="A4" s="83" t="s">
        <v>55</v>
      </c>
      <c r="B4" s="83"/>
      <c r="C4" s="83" t="s">
        <v>56</v>
      </c>
      <c r="D4" s="83"/>
      <c r="E4" s="83"/>
      <c r="F4" s="83"/>
      <c r="G4" s="83" t="s">
        <v>57</v>
      </c>
      <c r="H4" s="83"/>
      <c r="I4" s="83"/>
      <c r="J4" s="83"/>
      <c r="K4" s="83"/>
    </row>
    <row r="5" spans="1:19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9">
      <c r="A6" s="83"/>
      <c r="B6" s="83"/>
      <c r="C6" s="60"/>
      <c r="D6" s="60"/>
      <c r="E6" s="60"/>
      <c r="F6" s="60"/>
      <c r="G6" s="60"/>
      <c r="H6" s="60"/>
      <c r="I6" s="60"/>
      <c r="J6" s="83"/>
      <c r="K6" s="83"/>
    </row>
    <row r="7" spans="1:19">
      <c r="A7" s="83"/>
      <c r="B7" s="83"/>
      <c r="C7" s="60"/>
      <c r="D7" s="60"/>
      <c r="E7" s="60"/>
      <c r="F7" s="60"/>
      <c r="G7" s="60"/>
      <c r="H7" s="60"/>
      <c r="I7" s="60"/>
      <c r="J7" s="83"/>
      <c r="K7" s="83"/>
    </row>
    <row r="8" spans="1:19">
      <c r="A8" s="57" t="s">
        <v>16</v>
      </c>
      <c r="B8" s="77" t="s">
        <v>2</v>
      </c>
      <c r="C8" s="77"/>
      <c r="D8" s="57" t="s">
        <v>58</v>
      </c>
      <c r="E8" s="57" t="s">
        <v>59</v>
      </c>
      <c r="F8" s="57" t="s">
        <v>60</v>
      </c>
      <c r="G8" s="57" t="s">
        <v>61</v>
      </c>
      <c r="H8" s="57"/>
      <c r="I8" s="88" t="s">
        <v>62</v>
      </c>
      <c r="J8" s="84" t="s">
        <v>63</v>
      </c>
      <c r="K8" s="86" t="s">
        <v>64</v>
      </c>
    </row>
    <row r="9" spans="1:19">
      <c r="A9" s="76"/>
      <c r="B9" s="78"/>
      <c r="C9" s="78"/>
      <c r="D9" s="76"/>
      <c r="E9" s="76"/>
      <c r="F9" s="76"/>
      <c r="G9" s="76"/>
      <c r="H9" s="76"/>
      <c r="I9" s="89"/>
      <c r="J9" s="85"/>
      <c r="K9" s="87"/>
    </row>
    <row r="10" spans="1:19">
      <c r="A10" s="1">
        <v>1</v>
      </c>
      <c r="B10" s="60" t="s">
        <v>65</v>
      </c>
      <c r="C10" s="60"/>
      <c r="D10" s="39" t="s">
        <v>66</v>
      </c>
      <c r="E10" s="2">
        <v>10</v>
      </c>
      <c r="F10" s="1">
        <v>200</v>
      </c>
      <c r="G10" s="69">
        <f>E10*F10</f>
        <v>2000</v>
      </c>
      <c r="H10" s="69"/>
      <c r="I10" s="33">
        <v>23</v>
      </c>
      <c r="J10" s="2">
        <f>G10*I10/$S$1</f>
        <v>460</v>
      </c>
      <c r="K10" s="2">
        <f>G10+J10</f>
        <v>2460</v>
      </c>
    </row>
    <row r="11" spans="1:19">
      <c r="A11" s="1">
        <v>2</v>
      </c>
      <c r="B11" s="60" t="s">
        <v>67</v>
      </c>
      <c r="C11" s="60"/>
      <c r="D11" s="39" t="s">
        <v>66</v>
      </c>
      <c r="E11" s="2">
        <v>120.5</v>
      </c>
      <c r="F11" s="1">
        <v>25</v>
      </c>
      <c r="G11" s="69">
        <f t="shared" ref="G11:G14" si="0">E11*F11</f>
        <v>3012.5</v>
      </c>
      <c r="H11" s="69"/>
      <c r="I11" s="39">
        <v>23</v>
      </c>
      <c r="J11" s="1">
        <f>G11*I11/$S$1</f>
        <v>692.875</v>
      </c>
      <c r="K11" s="2">
        <f>G11+J11</f>
        <v>3705.375</v>
      </c>
    </row>
    <row r="12" spans="1:19">
      <c r="A12" s="1">
        <v>3</v>
      </c>
      <c r="B12" s="60" t="s">
        <v>68</v>
      </c>
      <c r="C12" s="60"/>
      <c r="D12" s="39" t="s">
        <v>66</v>
      </c>
      <c r="E12" s="2">
        <v>15</v>
      </c>
      <c r="F12" s="1">
        <v>100</v>
      </c>
      <c r="G12" s="69">
        <f t="shared" si="0"/>
        <v>1500</v>
      </c>
      <c r="H12" s="69"/>
      <c r="I12" s="39">
        <v>5</v>
      </c>
      <c r="J12" s="2">
        <f>G12*I12/$S$1</f>
        <v>75</v>
      </c>
      <c r="K12" s="2">
        <f>G12+J12</f>
        <v>1575</v>
      </c>
    </row>
    <row r="13" spans="1:19">
      <c r="A13" s="4">
        <v>4</v>
      </c>
      <c r="B13" s="81" t="s">
        <v>69</v>
      </c>
      <c r="C13" s="81"/>
      <c r="D13" s="43" t="s">
        <v>66</v>
      </c>
      <c r="E13" s="5">
        <v>30</v>
      </c>
      <c r="F13" s="4">
        <v>10</v>
      </c>
      <c r="G13" s="69">
        <f t="shared" si="0"/>
        <v>300</v>
      </c>
      <c r="H13" s="69"/>
      <c r="I13" s="39">
        <v>8</v>
      </c>
      <c r="J13" s="2">
        <f>G13*I13/$S$1</f>
        <v>24</v>
      </c>
      <c r="K13" s="2">
        <f>G13+J13</f>
        <v>324</v>
      </c>
    </row>
    <row r="14" spans="1:19">
      <c r="A14" s="82" t="s">
        <v>70</v>
      </c>
      <c r="B14" s="82"/>
      <c r="C14" s="82"/>
      <c r="D14" s="82"/>
      <c r="E14" s="82"/>
      <c r="F14" s="82"/>
      <c r="G14" s="79">
        <f>SUM(G10:G13)</f>
        <v>6812.5</v>
      </c>
      <c r="H14" s="80"/>
      <c r="I14" s="34"/>
      <c r="J14" s="35">
        <f>SUM(J10:J13)</f>
        <v>1251.875</v>
      </c>
      <c r="K14" s="35">
        <f>SUM(K10:K13)</f>
        <v>8064.375</v>
      </c>
    </row>
    <row r="15" spans="1:19">
      <c r="A15" s="72" t="s">
        <v>71</v>
      </c>
      <c r="B15" s="73"/>
      <c r="C15" s="73"/>
      <c r="D15" s="73"/>
      <c r="E15" s="73"/>
      <c r="F15" s="73"/>
      <c r="G15" s="69">
        <f>G10+G11</f>
        <v>5012.5</v>
      </c>
      <c r="H15" s="69"/>
      <c r="I15" s="39">
        <v>23</v>
      </c>
      <c r="J15" s="2">
        <f>J10+J11</f>
        <v>1152.875</v>
      </c>
      <c r="K15" s="2">
        <f>K10+K11</f>
        <v>6165.375</v>
      </c>
    </row>
    <row r="16" spans="1:19">
      <c r="A16" s="74"/>
      <c r="B16" s="75"/>
      <c r="C16" s="75"/>
      <c r="D16" s="75"/>
      <c r="E16" s="75"/>
      <c r="F16" s="75"/>
      <c r="G16" s="69">
        <f>G13</f>
        <v>300</v>
      </c>
      <c r="H16" s="69"/>
      <c r="I16" s="39">
        <v>8</v>
      </c>
      <c r="J16" s="2">
        <f>J13</f>
        <v>24</v>
      </c>
      <c r="K16" s="2">
        <f>K13</f>
        <v>324</v>
      </c>
    </row>
    <row r="17" spans="1:11">
      <c r="A17" s="74"/>
      <c r="B17" s="75"/>
      <c r="C17" s="75"/>
      <c r="D17" s="75"/>
      <c r="E17" s="75"/>
      <c r="F17" s="75"/>
      <c r="G17" s="69">
        <f>G12</f>
        <v>1500</v>
      </c>
      <c r="H17" s="69"/>
      <c r="I17" s="39">
        <v>5</v>
      </c>
      <c r="J17" s="2">
        <f>J12</f>
        <v>75</v>
      </c>
      <c r="K17" s="2">
        <f>K12</f>
        <v>1575</v>
      </c>
    </row>
    <row r="18" spans="1:11">
      <c r="A18" s="74"/>
      <c r="B18" s="75"/>
      <c r="C18" s="75"/>
      <c r="D18" s="75"/>
      <c r="E18" s="75"/>
      <c r="F18" s="75"/>
      <c r="G18" s="4"/>
      <c r="H18" s="4"/>
      <c r="I18" s="43" t="s">
        <v>72</v>
      </c>
      <c r="J18" s="4"/>
      <c r="K18" s="4"/>
    </row>
    <row r="19" spans="1:11">
      <c r="A19" s="62" t="s">
        <v>73</v>
      </c>
      <c r="B19" s="64"/>
      <c r="C19" s="67">
        <f>K14</f>
        <v>8064.375</v>
      </c>
      <c r="D19" s="58"/>
      <c r="E19" s="61" t="s">
        <v>74</v>
      </c>
      <c r="F19" s="61"/>
      <c r="G19" s="68" t="s">
        <v>75</v>
      </c>
      <c r="H19" s="68"/>
      <c r="I19" s="61" t="s">
        <v>76</v>
      </c>
      <c r="J19" s="70">
        <v>44224</v>
      </c>
      <c r="K19" s="70"/>
    </row>
    <row r="20" spans="1:11">
      <c r="A20" s="65"/>
      <c r="B20" s="66"/>
      <c r="C20" s="58"/>
      <c r="D20" s="58"/>
      <c r="E20" s="61"/>
      <c r="F20" s="61"/>
      <c r="G20" s="60" t="s">
        <v>77</v>
      </c>
      <c r="H20" s="60"/>
      <c r="I20" s="61"/>
      <c r="J20" s="70"/>
      <c r="K20" s="70"/>
    </row>
    <row r="21" spans="1:11">
      <c r="A21" s="60" t="s">
        <v>78</v>
      </c>
      <c r="B21" s="60"/>
      <c r="C21" s="71" t="s">
        <v>79</v>
      </c>
      <c r="D21" s="71"/>
      <c r="E21" s="71"/>
      <c r="F21" s="71"/>
      <c r="G21" s="71"/>
      <c r="H21" s="71"/>
      <c r="I21" s="71"/>
      <c r="J21" s="71"/>
      <c r="K21" s="71"/>
    </row>
    <row r="22" spans="1:11">
      <c r="E22" s="63" t="s">
        <v>80</v>
      </c>
      <c r="F22" s="63"/>
    </row>
  </sheetData>
  <mergeCells count="43">
    <mergeCell ref="J1:K7"/>
    <mergeCell ref="J8:J9"/>
    <mergeCell ref="K8:K9"/>
    <mergeCell ref="B10:C10"/>
    <mergeCell ref="G10:H10"/>
    <mergeCell ref="F8:F9"/>
    <mergeCell ref="I8:I9"/>
    <mergeCell ref="A1:B3"/>
    <mergeCell ref="A4:B7"/>
    <mergeCell ref="C1:F3"/>
    <mergeCell ref="C4:F5"/>
    <mergeCell ref="C6:F7"/>
    <mergeCell ref="G1:I2"/>
    <mergeCell ref="G3:I3"/>
    <mergeCell ref="G4:I5"/>
    <mergeCell ref="G6:I7"/>
    <mergeCell ref="A15:F18"/>
    <mergeCell ref="G15:H15"/>
    <mergeCell ref="G16:H16"/>
    <mergeCell ref="G17:H17"/>
    <mergeCell ref="A8:A9"/>
    <mergeCell ref="B8:C9"/>
    <mergeCell ref="D8:D9"/>
    <mergeCell ref="E8:E9"/>
    <mergeCell ref="G8:H9"/>
    <mergeCell ref="G12:H12"/>
    <mergeCell ref="G13:H13"/>
    <mergeCell ref="G14:H14"/>
    <mergeCell ref="B11:C11"/>
    <mergeCell ref="B12:C12"/>
    <mergeCell ref="B13:C13"/>
    <mergeCell ref="G11:H11"/>
    <mergeCell ref="I19:I20"/>
    <mergeCell ref="J19:K20"/>
    <mergeCell ref="A21:B21"/>
    <mergeCell ref="C21:K21"/>
    <mergeCell ref="A14:F14"/>
    <mergeCell ref="E22:F22"/>
    <mergeCell ref="A19:B20"/>
    <mergeCell ref="C19:D20"/>
    <mergeCell ref="E19:F20"/>
    <mergeCell ref="G19:H19"/>
    <mergeCell ref="G20:H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F13E-3F6C-402D-B63E-BFAC3F421DDD}">
  <dimension ref="A1:M6"/>
  <sheetViews>
    <sheetView workbookViewId="0">
      <selection activeCell="F14" sqref="F14"/>
    </sheetView>
  </sheetViews>
  <sheetFormatPr defaultRowHeight="15"/>
  <cols>
    <col min="10" max="10" width="8.7109375" customWidth="1"/>
    <col min="11" max="11" width="7.5703125" customWidth="1"/>
  </cols>
  <sheetData>
    <row r="1" spans="1:13">
      <c r="A1" s="56" t="s">
        <v>81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7.25" customHeight="1">
      <c r="I3" s="36"/>
      <c r="J3" s="36"/>
      <c r="K3" s="36"/>
      <c r="L3" s="36"/>
      <c r="M3" s="36"/>
    </row>
    <row r="4" spans="1:13" ht="15" customHeight="1">
      <c r="A4" s="94" t="s">
        <v>82</v>
      </c>
      <c r="B4" s="94" t="s">
        <v>83</v>
      </c>
      <c r="C4" s="94" t="s">
        <v>84</v>
      </c>
      <c r="D4" s="94" t="s">
        <v>58</v>
      </c>
      <c r="E4" s="93" t="s">
        <v>85</v>
      </c>
      <c r="F4" s="93" t="s">
        <v>86</v>
      </c>
      <c r="G4" s="93" t="s">
        <v>87</v>
      </c>
      <c r="H4" s="93" t="s">
        <v>88</v>
      </c>
      <c r="I4" s="93" t="s">
        <v>89</v>
      </c>
      <c r="J4" s="94" t="s">
        <v>90</v>
      </c>
      <c r="K4" s="94"/>
      <c r="L4" s="94"/>
      <c r="M4" s="94"/>
    </row>
    <row r="5" spans="1:13">
      <c r="A5" s="94"/>
      <c r="B5" s="94"/>
      <c r="C5" s="94"/>
      <c r="D5" s="94"/>
      <c r="E5" s="93"/>
      <c r="F5" s="93"/>
      <c r="G5" s="93"/>
      <c r="H5" s="93"/>
      <c r="I5" s="93"/>
      <c r="J5" s="94" t="s">
        <v>91</v>
      </c>
      <c r="K5" s="94"/>
      <c r="L5" s="94" t="s">
        <v>92</v>
      </c>
      <c r="M5" s="94"/>
    </row>
    <row r="6" spans="1:13">
      <c r="A6" s="90"/>
      <c r="B6" s="91"/>
      <c r="C6" s="91"/>
      <c r="D6" s="91"/>
      <c r="E6" s="92"/>
      <c r="F6" s="37" t="s">
        <v>93</v>
      </c>
      <c r="G6" s="37" t="s">
        <v>93</v>
      </c>
      <c r="H6" s="37" t="s">
        <v>94</v>
      </c>
      <c r="I6" s="37" t="s">
        <v>93</v>
      </c>
      <c r="J6" s="37" t="s">
        <v>94</v>
      </c>
      <c r="K6" s="37" t="s">
        <v>93</v>
      </c>
      <c r="L6" s="37" t="s">
        <v>94</v>
      </c>
      <c r="M6" s="37" t="s">
        <v>93</v>
      </c>
    </row>
  </sheetData>
  <mergeCells count="14">
    <mergeCell ref="A6:E6"/>
    <mergeCell ref="A1:M2"/>
    <mergeCell ref="G4:G5"/>
    <mergeCell ref="H4:H5"/>
    <mergeCell ref="I4:I5"/>
    <mergeCell ref="J5:K5"/>
    <mergeCell ref="L5:M5"/>
    <mergeCell ref="J4:M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04E3-8090-412B-ADC4-6D4FA67749A2}">
  <dimension ref="A1:M6"/>
  <sheetViews>
    <sheetView tabSelected="1" workbookViewId="0">
      <selection activeCell="G6" sqref="G6:J6"/>
    </sheetView>
  </sheetViews>
  <sheetFormatPr defaultRowHeight="15"/>
  <cols>
    <col min="3" max="3" width="16.5703125" customWidth="1"/>
    <col min="4" max="4" width="24.140625" customWidth="1"/>
    <col min="5" max="5" width="12" customWidth="1"/>
    <col min="6" max="6" width="11.7109375" customWidth="1"/>
    <col min="7" max="7" width="13.140625" customWidth="1"/>
    <col min="8" max="8" width="13" customWidth="1"/>
    <col min="9" max="9" width="12.5703125" customWidth="1"/>
    <col min="10" max="10" width="10.85546875" customWidth="1"/>
    <col min="11" max="11" width="11.7109375" customWidth="1"/>
    <col min="12" max="12" width="13.5703125" customWidth="1"/>
    <col min="13" max="13" width="11.5703125" customWidth="1"/>
  </cols>
  <sheetData>
    <row r="1" spans="1:13">
      <c r="A1" s="96" t="s">
        <v>95</v>
      </c>
      <c r="B1" s="96"/>
      <c r="C1" s="96"/>
      <c r="D1" s="96"/>
      <c r="E1" s="96"/>
      <c r="F1" s="96"/>
      <c r="G1" s="96"/>
      <c r="H1" s="96"/>
      <c r="I1" s="97" t="s">
        <v>96</v>
      </c>
      <c r="J1" s="98">
        <v>43465</v>
      </c>
    </row>
    <row r="2" spans="1:13" ht="41.25" customHeight="1">
      <c r="A2" s="40" t="s">
        <v>97</v>
      </c>
      <c r="B2" s="40" t="s">
        <v>98</v>
      </c>
      <c r="C2" s="41" t="s">
        <v>99</v>
      </c>
      <c r="D2" s="40" t="s">
        <v>84</v>
      </c>
      <c r="E2" s="41" t="s">
        <v>100</v>
      </c>
      <c r="F2" s="42" t="s">
        <v>101</v>
      </c>
      <c r="G2" s="42" t="s">
        <v>102</v>
      </c>
      <c r="H2" s="41" t="s">
        <v>103</v>
      </c>
      <c r="I2" s="41" t="s">
        <v>104</v>
      </c>
      <c r="J2" s="41" t="s">
        <v>105</v>
      </c>
      <c r="K2" s="41" t="s">
        <v>106</v>
      </c>
      <c r="L2" s="41" t="s">
        <v>107</v>
      </c>
      <c r="M2" s="41" t="s">
        <v>108</v>
      </c>
    </row>
    <row r="3" spans="1:13">
      <c r="A3" s="45">
        <v>1</v>
      </c>
      <c r="B3" s="44">
        <v>101</v>
      </c>
      <c r="C3" s="44" t="s">
        <v>109</v>
      </c>
      <c r="D3" s="46" t="s">
        <v>110</v>
      </c>
      <c r="E3" s="48">
        <v>42185</v>
      </c>
      <c r="F3" s="47">
        <v>2.5000000000000001E-2</v>
      </c>
      <c r="G3" s="49">
        <v>300000</v>
      </c>
      <c r="H3" s="49">
        <f>IF((G3*F3/12)*K3&gt;G3,G3,(G3*F3/12)*K3)</f>
        <v>26250</v>
      </c>
      <c r="I3" s="49">
        <f>(G3-H3)</f>
        <v>273750</v>
      </c>
      <c r="J3" s="95">
        <f>(H3*100%/G3)</f>
        <v>8.7499999999999994E-2</v>
      </c>
      <c r="K3">
        <f>DATEDIF(E3,$J$1,"M")</f>
        <v>42</v>
      </c>
      <c r="L3">
        <f>(100%/F3)*12</f>
        <v>480</v>
      </c>
      <c r="M3" s="48">
        <f>EDATE(E3,L3)</f>
        <v>56795</v>
      </c>
    </row>
    <row r="4" spans="1:13">
      <c r="A4" s="45">
        <v>1</v>
      </c>
      <c r="B4" s="44">
        <v>104</v>
      </c>
      <c r="C4" s="44" t="s">
        <v>111</v>
      </c>
      <c r="D4" s="46" t="s">
        <v>112</v>
      </c>
      <c r="E4" s="48">
        <v>41670</v>
      </c>
      <c r="F4" s="47">
        <v>2.5000000000000001E-2</v>
      </c>
      <c r="G4" s="49">
        <v>100000</v>
      </c>
      <c r="H4" s="49">
        <f t="shared" ref="H4:H5" si="0">IF((G4*F4/12)*K4&gt;G4,G4,(G4*F4/12)*K4)</f>
        <v>12291.666666666668</v>
      </c>
      <c r="I4" s="49">
        <f t="shared" ref="I4:I5" si="1">(G4-H4)</f>
        <v>87708.333333333328</v>
      </c>
      <c r="J4" s="95">
        <f t="shared" ref="J4:J6" si="2">(H4*100%/G4)</f>
        <v>0.12291666666666667</v>
      </c>
      <c r="K4">
        <f t="shared" ref="K4:K5" si="3">DATEDIF(E4,$J$1,"M")</f>
        <v>59</v>
      </c>
      <c r="L4">
        <f t="shared" ref="L4:L5" si="4">(100%/F4)*12</f>
        <v>480</v>
      </c>
      <c r="M4" s="48">
        <f t="shared" ref="M4:M5" si="5">EDATE(E4,L4)</f>
        <v>56280</v>
      </c>
    </row>
    <row r="5" spans="1:13">
      <c r="A5" s="45">
        <v>1</v>
      </c>
      <c r="B5" s="44">
        <v>105</v>
      </c>
      <c r="C5" s="44" t="s">
        <v>113</v>
      </c>
      <c r="D5" s="46" t="s">
        <v>114</v>
      </c>
      <c r="E5" s="48">
        <v>39568</v>
      </c>
      <c r="F5" s="47">
        <v>2.5000000000000001E-2</v>
      </c>
      <c r="G5" s="49">
        <v>250000</v>
      </c>
      <c r="H5" s="49">
        <f t="shared" si="0"/>
        <v>66666.666666666672</v>
      </c>
      <c r="I5" s="49">
        <f t="shared" si="1"/>
        <v>183333.33333333331</v>
      </c>
      <c r="J5" s="95">
        <f t="shared" si="2"/>
        <v>0.26666666666666666</v>
      </c>
      <c r="K5">
        <f t="shared" si="3"/>
        <v>128</v>
      </c>
      <c r="L5">
        <f t="shared" si="4"/>
        <v>480</v>
      </c>
      <c r="M5" s="48">
        <f t="shared" si="5"/>
        <v>54178</v>
      </c>
    </row>
    <row r="6" spans="1:13">
      <c r="A6" s="99" t="s">
        <v>115</v>
      </c>
      <c r="B6" s="99"/>
      <c r="C6" s="99"/>
      <c r="D6" s="99"/>
      <c r="E6" s="99"/>
      <c r="F6" s="99"/>
      <c r="G6" s="101">
        <f>SUM(G3:G5)</f>
        <v>650000</v>
      </c>
      <c r="H6" s="101">
        <f>SUM(H3:H5)</f>
        <v>105208.33333333334</v>
      </c>
      <c r="I6" s="101">
        <f>SUM(I3:I5)</f>
        <v>544791.66666666663</v>
      </c>
      <c r="J6" s="102">
        <f t="shared" si="2"/>
        <v>0.16185897435897437</v>
      </c>
      <c r="K6" s="100"/>
      <c r="L6" s="100"/>
      <c r="M6" s="100"/>
    </row>
  </sheetData>
  <mergeCells count="2">
    <mergeCell ref="A1:H1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2020-12-10T16:56:12Z</dcterms:created>
  <dcterms:modified xsi:type="dcterms:W3CDTF">2021-02-05T10:37:17Z</dcterms:modified>
  <cp:category/>
  <cp:contentStatus/>
</cp:coreProperties>
</file>